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filterPrivacy="1" defaultThemeVersion="166925"/>
  <workbookProtection lockWindows="1"/>
  <bookViews>
    <workbookView xWindow="2010" yWindow="0" windowWidth="9330" windowHeight="6375" tabRatio="500" xr2:uid="{00000000-000D-0000-FFFF-FFFF00000000}"/>
  </bookViews>
  <sheets>
    <sheet name="Sheet1" sheetId="1" r:id="rId1"/>
  </sheets>
  <definedNames>
    <definedName name="_xlnm.Print_Area" localSheetId="0">Sheet1!$A$1:$S$41</definedName>
    <definedName name="Print_Area_0" localSheetId="0">Sheet1!$A$1:$S$41</definedName>
    <definedName name="Print_Area_0_0" localSheetId="0">Sheet1!$A$1:$S$41</definedName>
  </definedNames>
  <calcPr calcId="171027" concurrentCalc="0"/>
</workbook>
</file>

<file path=xl/calcChain.xml><?xml version="1.0" encoding="utf-8"?>
<calcChain xmlns="http://schemas.openxmlformats.org/spreadsheetml/2006/main">
  <c r="M36" i="1" l="1"/>
  <c r="M41" i="1"/>
  <c r="L36" i="1"/>
  <c r="L41" i="1"/>
  <c r="K36" i="1"/>
  <c r="K41" i="1"/>
  <c r="J36" i="1"/>
  <c r="J41" i="1"/>
  <c r="I36" i="1"/>
  <c r="I41" i="1"/>
  <c r="H36" i="1"/>
  <c r="H41" i="1"/>
  <c r="G36" i="1"/>
  <c r="G41" i="1"/>
  <c r="F36" i="1"/>
  <c r="F41" i="1"/>
  <c r="E36" i="1"/>
  <c r="E41" i="1"/>
  <c r="D36" i="1"/>
  <c r="D41" i="1"/>
  <c r="C36" i="1"/>
  <c r="C41" i="1"/>
  <c r="H40" i="1"/>
  <c r="I40" i="1"/>
  <c r="J40" i="1"/>
  <c r="K40" i="1"/>
  <c r="C40" i="1"/>
  <c r="D40" i="1"/>
  <c r="E40" i="1"/>
  <c r="F40" i="1"/>
  <c r="G40" i="1"/>
  <c r="L40" i="1"/>
  <c r="P40" i="1"/>
  <c r="N40" i="1"/>
  <c r="R40" i="1"/>
  <c r="O40" i="1"/>
  <c r="Q40" i="1"/>
  <c r="H39" i="1"/>
  <c r="I39" i="1"/>
  <c r="J39" i="1"/>
  <c r="K39" i="1"/>
  <c r="C39" i="1"/>
  <c r="D39" i="1"/>
  <c r="E39" i="1"/>
  <c r="F39" i="1"/>
  <c r="G39" i="1"/>
  <c r="L39" i="1"/>
  <c r="P39" i="1"/>
  <c r="N39" i="1"/>
  <c r="R39" i="1"/>
  <c r="O39" i="1"/>
  <c r="Q39" i="1"/>
  <c r="H38" i="1"/>
  <c r="I38" i="1"/>
  <c r="J38" i="1"/>
  <c r="K38" i="1"/>
  <c r="C38" i="1"/>
  <c r="D38" i="1"/>
  <c r="E38" i="1"/>
  <c r="F38" i="1"/>
  <c r="G38" i="1"/>
  <c r="L38" i="1"/>
  <c r="P38" i="1"/>
  <c r="N38" i="1"/>
  <c r="R38" i="1"/>
  <c r="O38" i="1"/>
  <c r="Q38" i="1"/>
  <c r="H31" i="1"/>
  <c r="I31" i="1"/>
  <c r="J31" i="1"/>
  <c r="K31" i="1"/>
  <c r="C31" i="1"/>
  <c r="D31" i="1"/>
  <c r="E31" i="1"/>
  <c r="F31" i="1"/>
  <c r="G31" i="1"/>
  <c r="L31" i="1"/>
  <c r="P31" i="1"/>
  <c r="P28" i="1"/>
  <c r="P33" i="1"/>
  <c r="O31" i="1"/>
  <c r="O28" i="1"/>
  <c r="O33" i="1"/>
  <c r="N31" i="1"/>
  <c r="N28" i="1"/>
  <c r="N33" i="1"/>
  <c r="M31" i="1"/>
  <c r="M33" i="1"/>
  <c r="L33" i="1"/>
  <c r="K33" i="1"/>
  <c r="J33" i="1"/>
  <c r="I33" i="1"/>
  <c r="H33" i="1"/>
  <c r="G33" i="1"/>
  <c r="F33" i="1"/>
  <c r="E33" i="1"/>
  <c r="D33" i="1"/>
  <c r="C33" i="1"/>
  <c r="C29" i="1"/>
  <c r="C30" i="1"/>
  <c r="C32" i="1"/>
  <c r="D29" i="1"/>
  <c r="D30" i="1"/>
  <c r="D32" i="1"/>
  <c r="E29" i="1"/>
  <c r="E30" i="1"/>
  <c r="E32" i="1"/>
  <c r="F29" i="1"/>
  <c r="F30" i="1"/>
  <c r="F32" i="1"/>
  <c r="G29" i="1"/>
  <c r="G30" i="1"/>
  <c r="G32" i="1"/>
  <c r="H29" i="1"/>
  <c r="H30" i="1"/>
  <c r="H32" i="1"/>
  <c r="I29" i="1"/>
  <c r="I30" i="1"/>
  <c r="I32" i="1"/>
  <c r="J29" i="1"/>
  <c r="J30" i="1"/>
  <c r="J32" i="1"/>
  <c r="K29" i="1"/>
  <c r="K30" i="1"/>
  <c r="K32" i="1"/>
  <c r="L29" i="1"/>
  <c r="L30" i="1"/>
  <c r="L32" i="1"/>
  <c r="O32" i="1"/>
  <c r="P32" i="1"/>
  <c r="S32" i="1"/>
  <c r="N32" i="1"/>
  <c r="R32" i="1"/>
  <c r="Q32" i="1"/>
  <c r="M29" i="1"/>
  <c r="M30" i="1"/>
  <c r="M32" i="1"/>
  <c r="S31" i="1"/>
  <c r="R31" i="1"/>
  <c r="Q31" i="1"/>
  <c r="O30" i="1"/>
  <c r="P30" i="1"/>
  <c r="S30" i="1"/>
  <c r="N30" i="1"/>
  <c r="R30" i="1"/>
  <c r="Q30" i="1"/>
  <c r="P29" i="1"/>
  <c r="O29" i="1"/>
  <c r="N29" i="1"/>
  <c r="S28" i="1"/>
  <c r="R28" i="1"/>
  <c r="Q28" i="1"/>
  <c r="O27" i="1"/>
  <c r="H27" i="1"/>
  <c r="I27" i="1"/>
  <c r="J27" i="1"/>
  <c r="K27" i="1"/>
  <c r="L27" i="1"/>
  <c r="P27" i="1"/>
  <c r="S27" i="1"/>
  <c r="N27" i="1"/>
  <c r="R27" i="1"/>
  <c r="Q27" i="1"/>
  <c r="M27" i="1"/>
  <c r="C22" i="1"/>
  <c r="C10" i="1"/>
  <c r="C25" i="1"/>
  <c r="D22" i="1"/>
  <c r="D10" i="1"/>
  <c r="D25" i="1"/>
  <c r="E22" i="1"/>
  <c r="E10" i="1"/>
  <c r="E25" i="1"/>
  <c r="F22" i="1"/>
  <c r="F10" i="1"/>
  <c r="F25" i="1"/>
  <c r="G22" i="1"/>
  <c r="G10" i="1"/>
  <c r="G25" i="1"/>
  <c r="H22" i="1"/>
  <c r="H10" i="1"/>
  <c r="H25" i="1"/>
  <c r="I22" i="1"/>
  <c r="I10" i="1"/>
  <c r="I25" i="1"/>
  <c r="J22" i="1"/>
  <c r="J10" i="1"/>
  <c r="J25" i="1"/>
  <c r="K22" i="1"/>
  <c r="K10" i="1"/>
  <c r="K25" i="1"/>
  <c r="L22" i="1"/>
  <c r="L10" i="1"/>
  <c r="L25" i="1"/>
  <c r="O25" i="1"/>
  <c r="P25" i="1"/>
  <c r="S25" i="1"/>
  <c r="N25" i="1"/>
  <c r="R25" i="1"/>
  <c r="Q25" i="1"/>
  <c r="M22" i="1"/>
  <c r="M10" i="1"/>
  <c r="M25" i="1"/>
  <c r="C15" i="1"/>
  <c r="C24" i="1"/>
  <c r="D15" i="1"/>
  <c r="D24" i="1"/>
  <c r="E15" i="1"/>
  <c r="E24" i="1"/>
  <c r="F15" i="1"/>
  <c r="F24" i="1"/>
  <c r="G15" i="1"/>
  <c r="G24" i="1"/>
  <c r="H15" i="1"/>
  <c r="H24" i="1"/>
  <c r="I15" i="1"/>
  <c r="I24" i="1"/>
  <c r="J15" i="1"/>
  <c r="J24" i="1"/>
  <c r="K15" i="1"/>
  <c r="K24" i="1"/>
  <c r="L15" i="1"/>
  <c r="L24" i="1"/>
  <c r="O24" i="1"/>
  <c r="P24" i="1"/>
  <c r="S24" i="1"/>
  <c r="N24" i="1"/>
  <c r="R24" i="1"/>
  <c r="Q24" i="1"/>
  <c r="M15" i="1"/>
  <c r="M24" i="1"/>
  <c r="O22" i="1"/>
  <c r="P22" i="1"/>
  <c r="S22" i="1"/>
  <c r="N22" i="1"/>
  <c r="R22" i="1"/>
  <c r="Q22" i="1"/>
  <c r="P21" i="1"/>
  <c r="O21" i="1"/>
  <c r="N21" i="1"/>
  <c r="P20" i="1"/>
  <c r="O20" i="1"/>
  <c r="N20" i="1"/>
  <c r="P17" i="1"/>
  <c r="P3" i="1"/>
  <c r="P18" i="1"/>
  <c r="O17" i="1"/>
  <c r="O3" i="1"/>
  <c r="O18" i="1"/>
  <c r="N17" i="1"/>
  <c r="N3" i="1"/>
  <c r="N18" i="1"/>
  <c r="M18" i="1"/>
  <c r="L18" i="1"/>
  <c r="K18" i="1"/>
  <c r="J18" i="1"/>
  <c r="I18" i="1"/>
  <c r="H18" i="1"/>
  <c r="G18" i="1"/>
  <c r="F18" i="1"/>
  <c r="E18" i="1"/>
  <c r="D18" i="1"/>
  <c r="C18" i="1"/>
  <c r="S17" i="1"/>
  <c r="R17" i="1"/>
  <c r="Q17" i="1"/>
  <c r="O15" i="1"/>
  <c r="P15" i="1"/>
  <c r="S15" i="1"/>
  <c r="N15" i="1"/>
  <c r="R15" i="1"/>
  <c r="Q15" i="1"/>
  <c r="P14" i="1"/>
  <c r="O14" i="1"/>
  <c r="N14" i="1"/>
  <c r="P13" i="1"/>
  <c r="O13" i="1"/>
  <c r="N13" i="1"/>
  <c r="P10" i="1"/>
  <c r="P11" i="1"/>
  <c r="O10" i="1"/>
  <c r="O11" i="1"/>
  <c r="N10" i="1"/>
  <c r="N11" i="1"/>
  <c r="M11" i="1"/>
  <c r="L11" i="1"/>
  <c r="K11" i="1"/>
  <c r="J11" i="1"/>
  <c r="I11" i="1"/>
  <c r="H11" i="1"/>
  <c r="G11" i="1"/>
  <c r="F11" i="1"/>
  <c r="E11" i="1"/>
  <c r="D11" i="1"/>
  <c r="C11" i="1"/>
  <c r="S10" i="1"/>
  <c r="R10" i="1"/>
  <c r="Q10" i="1"/>
  <c r="O9" i="1"/>
  <c r="P9" i="1"/>
  <c r="S9" i="1"/>
  <c r="N9" i="1"/>
  <c r="R9" i="1"/>
  <c r="Q9" i="1"/>
  <c r="L7" i="1"/>
  <c r="K7" i="1"/>
  <c r="J7" i="1"/>
  <c r="I7" i="1"/>
  <c r="H7" i="1"/>
  <c r="G7" i="1"/>
  <c r="F7" i="1"/>
  <c r="E7" i="1"/>
  <c r="D7" i="1"/>
  <c r="C7" i="1"/>
  <c r="L6" i="1"/>
  <c r="K6" i="1"/>
  <c r="J6" i="1"/>
  <c r="I6" i="1"/>
  <c r="H6" i="1"/>
  <c r="G6" i="1"/>
  <c r="F6" i="1"/>
  <c r="E6" i="1"/>
  <c r="D6" i="1"/>
  <c r="C6" i="1"/>
  <c r="P4" i="1"/>
  <c r="P5" i="1"/>
  <c r="O4" i="1"/>
  <c r="O5" i="1"/>
  <c r="N4" i="1"/>
  <c r="N5" i="1"/>
  <c r="M5" i="1"/>
  <c r="L5" i="1"/>
  <c r="K5" i="1"/>
  <c r="J5" i="1"/>
  <c r="I5" i="1"/>
  <c r="H5" i="1"/>
  <c r="G5" i="1"/>
  <c r="F5" i="1"/>
  <c r="E5" i="1"/>
  <c r="D5" i="1"/>
  <c r="C5" i="1"/>
  <c r="S4" i="1"/>
  <c r="R4" i="1"/>
  <c r="Q4" i="1"/>
  <c r="S3" i="1"/>
  <c r="R3" i="1"/>
  <c r="Q3" i="1"/>
</calcChain>
</file>

<file path=xl/sharedStrings.xml><?xml version="1.0" encoding="utf-8"?>
<sst xmlns="http://schemas.openxmlformats.org/spreadsheetml/2006/main" count="63" uniqueCount="49">
  <si>
    <t>Full</t>
  </si>
  <si>
    <t>Last</t>
  </si>
  <si>
    <t>First</t>
  </si>
  <si>
    <t>% of ttl</t>
  </si>
  <si>
    <t>Metric</t>
  </si>
  <si>
    <t>Statement</t>
  </si>
  <si>
    <t>10 Years</t>
  </si>
  <si>
    <t>5 Years</t>
  </si>
  <si>
    <t>Last 5</t>
  </si>
  <si>
    <t>First 5</t>
  </si>
  <si>
    <t>Variance</t>
  </si>
  <si>
    <t>Revenue</t>
  </si>
  <si>
    <t>SOCI</t>
  </si>
  <si>
    <t>Profit After Tax</t>
  </si>
  <si>
    <t>Profit Margin</t>
  </si>
  <si>
    <t>Sales Growth</t>
  </si>
  <si>
    <t>Profit Growth</t>
  </si>
  <si>
    <t>Cash Generated from Operations</t>
  </si>
  <si>
    <t>CFS</t>
  </si>
  <si>
    <t>Interest Paid</t>
  </si>
  <si>
    <t>Interest cover</t>
  </si>
  <si>
    <t>Purchase of PPE</t>
  </si>
  <si>
    <t>Proceeds of sales of PPE</t>
  </si>
  <si>
    <t>Net PPE Purchases</t>
  </si>
  <si>
    <t>Tax Paid</t>
  </si>
  <si>
    <t>Tax paid as a % of revenue</t>
  </si>
  <si>
    <t>Dividends</t>
  </si>
  <si>
    <t>SOCE / CFS</t>
  </si>
  <si>
    <t>Share based payment</t>
  </si>
  <si>
    <t>SOCE</t>
  </si>
  <si>
    <t>Financing + Dividends - PPE Purchases</t>
  </si>
  <si>
    <t>Financing + Dividends - Infrastructure</t>
  </si>
  <si>
    <t>Working capital adjustment</t>
  </si>
  <si>
    <t>Notes - Net Finance Costs</t>
  </si>
  <si>
    <t>Additions</t>
  </si>
  <si>
    <t>Notes - PPE</t>
  </si>
  <si>
    <t>Construction in Progress</t>
  </si>
  <si>
    <t>Plant, vehicles and computers</t>
  </si>
  <si>
    <t>Property</t>
  </si>
  <si>
    <t>Infrastructure as a % of additions</t>
  </si>
  <si>
    <t>Property Plant and Equipment Balance</t>
  </si>
  <si>
    <t>BS</t>
  </si>
  <si>
    <t>Borrowings</t>
  </si>
  <si>
    <t>Cash at bank</t>
  </si>
  <si>
    <t>Change in PPE</t>
  </si>
  <si>
    <t>Change in Borrowings</t>
  </si>
  <si>
    <t>Change in Cash</t>
  </si>
  <si>
    <t>Ratio of Borrowing to PPE</t>
  </si>
  <si>
    <t>Infrastructure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</si>
</sst>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\-??_-;_-@_-"/>
    <numFmt numFmtId="165" formatCode="#,##0.0_ ;[Red]\(#,##0.0&quot;) &quot;"/>
    <numFmt numFmtId="166" formatCode="0.0%;[Red]\(0.0%\)"/>
    <numFmt numFmtId="167" formatCode="0.0%"/>
  </numFmts>
  <fonts count="4" x14ac:knownFonts="1">
    <font>
      <sz val="10"/>
      <name val="Arial"/>
      <family val="2"/>
      <charset val="1"/>
    </font>
    <font>
      <sz val="11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3" fillId="0" borderId="0" applyBorder="0" applyProtection="0"/>
    <xf numFmtId="9" fontId="3" fillId="0" borderId="0" applyBorder="0" applyProtection="0"/>
  </cellStyleXfs>
  <cellXfs count="1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3" fillId="0" borderId="0" xfId="1" applyNumberFormat="1" applyBorder="1" applyAlignment="1" applyProtection="1">
      <alignment vertical="center"/>
    </xf>
    <xf numFmtId="165" fontId="0" fillId="0" borderId="0" xfId="0" applyNumberFormat="1" applyFont="1" applyAlignment="1">
      <alignment vertical="center"/>
    </xf>
    <xf numFmtId="166" fontId="0" fillId="0" borderId="0" xfId="2" applyNumberFormat="1" applyFont="1" applyBorder="1" applyAlignment="1" applyProtection="1">
      <alignment vertical="center"/>
    </xf>
    <xf numFmtId="166" fontId="2" fillId="0" borderId="0" xfId="2" applyNumberFormat="1" applyFont="1" applyBorder="1" applyAlignment="1" applyProtection="1">
      <alignment vertical="center"/>
    </xf>
    <xf numFmtId="167" fontId="3" fillId="0" borderId="0" xfId="2" applyNumberFormat="1" applyBorder="1" applyAlignment="1" applyProtection="1">
      <alignment vertical="center"/>
    </xf>
    <xf numFmtId="165" fontId="2" fillId="0" borderId="0" xfId="1" applyNumberFormat="1" applyFont="1" applyBorder="1" applyAlignment="1" applyProtection="1">
      <alignment vertical="center"/>
    </xf>
    <xf numFmtId="165" fontId="2" fillId="0" borderId="0" xfId="0" applyNumberFormat="1" applyFont="1" applyAlignment="1">
      <alignment vertical="center"/>
    </xf>
    <xf numFmtId="164" fontId="3" fillId="0" borderId="0" xfId="1" applyBorder="1" applyAlignment="1" applyProtection="1">
      <alignment vertical="center"/>
    </xf>
    <xf numFmtId="165" fontId="0" fillId="0" borderId="0" xfId="1" applyNumberFormat="1" applyFont="1" applyBorder="1" applyAlignment="1" applyProtection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581025</xdr:colOff>
      <xdr:row>56</xdr:row>
      <xdr:rowOff>171450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1077FD2C-D599-4D33-87CF-06BB3B082BF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41"/>
  <sheetViews>
    <sheetView windowProtection="1" tabSelected="1" zoomScale="80" zoomScaleNormal="80" workbookViewId="0">
      <pane xSplit="2" ySplit="2" topLeftCell="C3" activePane="bottomRight" state="frozen"/>
      <selection pane="topRight" activeCell="E1" sqref="E1"/>
      <selection pane="bottomLeft" activeCell="A21" sqref="A21"/>
      <selection pane="bottomRight" activeCell="M13" sqref="M13"/>
    </sheetView>
  </sheetViews>
  <sheetFormatPr defaultRowHeight="14.25" x14ac:dyDescent="0.2"/>
  <cols>
    <col min="1" max="1" width="36.5703125" style="1"/>
    <col min="2" max="2" width="22.140625" style="1"/>
    <col min="3" max="17" width="9.42578125" style="1"/>
    <col min="18" max="18" width="11.28515625" style="2"/>
    <col min="19" max="1025" width="11.28515625" style="1"/>
  </cols>
  <sheetData>
    <row r="1" spans="1:19" ht="12.75" x14ac:dyDescent="0.2">
      <c r="A1"/>
      <c r="B1"/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/>
      <c r="N1" s="3" t="s">
        <v>0</v>
      </c>
      <c r="O1" s="3" t="s">
        <v>1</v>
      </c>
      <c r="P1" s="3" t="s">
        <v>2</v>
      </c>
      <c r="Q1" s="3" t="s">
        <v>3</v>
      </c>
      <c r="R1" s="3" t="s">
        <v>3</v>
      </c>
      <c r="S1"/>
    </row>
    <row r="2" spans="1:19" ht="12.75" x14ac:dyDescent="0.2">
      <c r="A2" s="4" t="s">
        <v>4</v>
      </c>
      <c r="B2" s="4" t="s">
        <v>5</v>
      </c>
      <c r="C2" s="4">
        <v>2017</v>
      </c>
      <c r="D2" s="3">
        <v>2016</v>
      </c>
      <c r="E2" s="3">
        <v>2015</v>
      </c>
      <c r="F2" s="3">
        <v>2014</v>
      </c>
      <c r="G2" s="3">
        <v>2013</v>
      </c>
      <c r="H2" s="3">
        <v>2012</v>
      </c>
      <c r="I2" s="3">
        <v>2011</v>
      </c>
      <c r="J2" s="3">
        <v>2010</v>
      </c>
      <c r="K2" s="3">
        <v>2009</v>
      </c>
      <c r="L2" s="3">
        <v>2008</v>
      </c>
      <c r="M2" s="3">
        <v>2007</v>
      </c>
      <c r="N2" s="3" t="s">
        <v>6</v>
      </c>
      <c r="O2" s="3" t="s">
        <v>7</v>
      </c>
      <c r="P2" s="3" t="s">
        <v>7</v>
      </c>
      <c r="Q2" s="3" t="s">
        <v>8</v>
      </c>
      <c r="R2" s="3" t="s">
        <v>9</v>
      </c>
      <c r="S2" s="3" t="s">
        <v>10</v>
      </c>
    </row>
    <row r="3" spans="1:19" ht="12.75" x14ac:dyDescent="0.2">
      <c r="A3" s="1" t="s">
        <v>11</v>
      </c>
      <c r="B3" s="1" t="s">
        <v>12</v>
      </c>
      <c r="C3" s="1">
        <v>562.5</v>
      </c>
      <c r="D3" s="5">
        <v>506.4</v>
      </c>
      <c r="E3" s="5">
        <v>523.6</v>
      </c>
      <c r="F3" s="5">
        <v>521.5</v>
      </c>
      <c r="G3" s="5">
        <v>500.1</v>
      </c>
      <c r="H3" s="5">
        <v>474.7</v>
      </c>
      <c r="I3" s="5">
        <v>449.1</v>
      </c>
      <c r="J3" s="5">
        <v>444.5</v>
      </c>
      <c r="K3" s="5">
        <v>432</v>
      </c>
      <c r="L3" s="5">
        <v>421.3</v>
      </c>
      <c r="M3" s="5">
        <v>381.3</v>
      </c>
      <c r="N3" s="5">
        <f>SUM(C3:L3)</f>
        <v>4835.7</v>
      </c>
      <c r="O3" s="6">
        <f>SUMIFS($C3:$L3,$C$1:$L$1,"&lt;=5")</f>
        <v>2614.1</v>
      </c>
      <c r="P3" s="6">
        <f>SUMIFS($C3:$L3,$C$1:$L$1,"&gt;5")</f>
        <v>2221.6</v>
      </c>
      <c r="Q3" s="7">
        <f>O3/N3</f>
        <v>0.54058357631780296</v>
      </c>
      <c r="R3" s="7">
        <f>P3/N3</f>
        <v>0.45941642368219698</v>
      </c>
      <c r="S3" s="7">
        <f>IFERROR(O3/P3-1,0)</f>
        <v>0.17667446885127847</v>
      </c>
    </row>
    <row r="4" spans="1:19" ht="12.75" x14ac:dyDescent="0.2">
      <c r="A4" s="1" t="s">
        <v>13</v>
      </c>
      <c r="B4" s="1" t="s">
        <v>12</v>
      </c>
      <c r="C4" s="1">
        <v>150.19999999999999</v>
      </c>
      <c r="D4" s="5">
        <v>160</v>
      </c>
      <c r="E4" s="5">
        <v>141.9</v>
      </c>
      <c r="F4" s="5">
        <v>163.5</v>
      </c>
      <c r="G4" s="5">
        <v>133.80000000000001</v>
      </c>
      <c r="H4" s="5">
        <v>129.5</v>
      </c>
      <c r="I4" s="5">
        <v>125.1</v>
      </c>
      <c r="J4" s="5">
        <v>98.8</v>
      </c>
      <c r="K4" s="5">
        <v>65.599999999999994</v>
      </c>
      <c r="L4" s="5">
        <v>105.6</v>
      </c>
      <c r="M4" s="5">
        <v>72.099999999999994</v>
      </c>
      <c r="N4" s="5">
        <f>SUM(C4:L4)</f>
        <v>1274</v>
      </c>
      <c r="O4" s="6">
        <f>SUMIFS($C4:$L4,$C$1:$L$1,"&lt;=5")</f>
        <v>749.40000000000009</v>
      </c>
      <c r="P4" s="6">
        <f>SUMIFS($C4:$L4,$C$1:$L$1,"&gt;5")</f>
        <v>524.6</v>
      </c>
      <c r="Q4" s="7">
        <f>O4/N4</f>
        <v>0.58822605965463115</v>
      </c>
      <c r="R4" s="7">
        <f>P4/N4</f>
        <v>0.41177394034536896</v>
      </c>
      <c r="S4" s="7">
        <f>IFERROR(O4/P4-1,0)</f>
        <v>0.42851696530690053</v>
      </c>
    </row>
    <row r="5" spans="1:19" ht="12.75" x14ac:dyDescent="0.2">
      <c r="A5" s="4" t="s">
        <v>14</v>
      </c>
      <c r="B5" s="4"/>
      <c r="C5" s="8">
        <f t="shared" ref="C5:P5" si="0">IFERROR(C4/C3,0)</f>
        <v>0.26702222222222222</v>
      </c>
      <c r="D5" s="8">
        <f t="shared" si="0"/>
        <v>0.31595576619273302</v>
      </c>
      <c r="E5" s="8">
        <f t="shared" si="0"/>
        <v>0.27100840336134452</v>
      </c>
      <c r="F5" s="8">
        <f t="shared" si="0"/>
        <v>0.31351869606903165</v>
      </c>
      <c r="G5" s="8">
        <f t="shared" si="0"/>
        <v>0.26754649070185965</v>
      </c>
      <c r="H5" s="8">
        <f t="shared" si="0"/>
        <v>0.27280387613229407</v>
      </c>
      <c r="I5" s="8">
        <f t="shared" si="0"/>
        <v>0.27855711422845691</v>
      </c>
      <c r="J5" s="8">
        <f t="shared" si="0"/>
        <v>0.22227221597300337</v>
      </c>
      <c r="K5" s="8">
        <f t="shared" si="0"/>
        <v>0.15185185185185185</v>
      </c>
      <c r="L5" s="8">
        <f t="shared" si="0"/>
        <v>0.25065274151436029</v>
      </c>
      <c r="M5" s="8">
        <f t="shared" si="0"/>
        <v>0.18908995541568316</v>
      </c>
      <c r="N5" s="8">
        <f t="shared" si="0"/>
        <v>0.26345720371404346</v>
      </c>
      <c r="O5" s="8">
        <f t="shared" si="0"/>
        <v>0.28667610267396049</v>
      </c>
      <c r="P5" s="8">
        <f t="shared" si="0"/>
        <v>0.23613611811307167</v>
      </c>
      <c r="Q5" s="7"/>
      <c r="R5" s="7"/>
      <c r="S5"/>
    </row>
    <row r="6" spans="1:19" ht="12.75" x14ac:dyDescent="0.2">
      <c r="A6" s="4" t="s">
        <v>15</v>
      </c>
      <c r="B6" s="4"/>
      <c r="C6" s="8">
        <f t="shared" ref="C6:L6" si="1">IFERROR(C3/D3-1,0)</f>
        <v>0.11078199052132698</v>
      </c>
      <c r="D6" s="8">
        <f t="shared" si="1"/>
        <v>-3.2849503437738847E-2</v>
      </c>
      <c r="E6" s="8">
        <f t="shared" si="1"/>
        <v>4.0268456375840422E-3</v>
      </c>
      <c r="F6" s="8">
        <f t="shared" si="1"/>
        <v>4.2791441711657718E-2</v>
      </c>
      <c r="G6" s="8">
        <f t="shared" si="1"/>
        <v>5.350747840741521E-2</v>
      </c>
      <c r="H6" s="8">
        <f t="shared" si="1"/>
        <v>5.7002894678245264E-2</v>
      </c>
      <c r="I6" s="8">
        <f t="shared" si="1"/>
        <v>1.0348706411698494E-2</v>
      </c>
      <c r="J6" s="8">
        <f t="shared" si="1"/>
        <v>2.8935185185185119E-2</v>
      </c>
      <c r="K6" s="8">
        <f t="shared" si="1"/>
        <v>2.5397578922383035E-2</v>
      </c>
      <c r="L6" s="8">
        <f t="shared" si="1"/>
        <v>0.10490427484920017</v>
      </c>
      <c r="M6" s="8"/>
      <c r="N6" s="8"/>
      <c r="O6" s="8"/>
      <c r="P6" s="8"/>
      <c r="Q6" s="7"/>
      <c r="R6" s="7"/>
      <c r="S6"/>
    </row>
    <row r="7" spans="1:19" ht="12.75" x14ac:dyDescent="0.2">
      <c r="A7" s="4" t="s">
        <v>16</v>
      </c>
      <c r="B7" s="4"/>
      <c r="C7" s="8">
        <f t="shared" ref="C7:L7" si="2">IFERROR(C4/D4-1,0)</f>
        <v>-6.1250000000000027E-2</v>
      </c>
      <c r="D7" s="8">
        <f t="shared" si="2"/>
        <v>0.12755461592670891</v>
      </c>
      <c r="E7" s="8">
        <f t="shared" si="2"/>
        <v>-0.13211009174311927</v>
      </c>
      <c r="F7" s="8">
        <f t="shared" si="2"/>
        <v>0.22197309417040345</v>
      </c>
      <c r="G7" s="8">
        <f t="shared" si="2"/>
        <v>3.3204633204633183E-2</v>
      </c>
      <c r="H7" s="8">
        <f t="shared" si="2"/>
        <v>3.5171862509992158E-2</v>
      </c>
      <c r="I7" s="8">
        <f t="shared" si="2"/>
        <v>0.2661943319838056</v>
      </c>
      <c r="J7" s="8">
        <f t="shared" si="2"/>
        <v>0.50609756097560976</v>
      </c>
      <c r="K7" s="8">
        <f t="shared" si="2"/>
        <v>-0.37878787878787878</v>
      </c>
      <c r="L7" s="8">
        <f t="shared" si="2"/>
        <v>0.46463245492371708</v>
      </c>
      <c r="M7" s="8"/>
      <c r="N7" s="8"/>
      <c r="O7" s="8"/>
      <c r="P7" s="8"/>
      <c r="Q7" s="7"/>
      <c r="R7" s="7"/>
      <c r="S7"/>
    </row>
    <row r="8" spans="1:19" ht="12.75" x14ac:dyDescent="0.2">
      <c r="A8"/>
      <c r="B8"/>
      <c r="C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/>
      <c r="P8"/>
      <c r="Q8" s="7"/>
      <c r="R8" s="7"/>
      <c r="S8"/>
    </row>
    <row r="9" spans="1:19" ht="12.75" x14ac:dyDescent="0.2">
      <c r="A9" s="1" t="s">
        <v>17</v>
      </c>
      <c r="B9" s="1" t="s">
        <v>18</v>
      </c>
      <c r="C9" s="1">
        <v>330.7</v>
      </c>
      <c r="D9" s="5">
        <v>298.5</v>
      </c>
      <c r="E9" s="5">
        <v>315.5</v>
      </c>
      <c r="F9" s="5">
        <v>313.7</v>
      </c>
      <c r="G9" s="5">
        <v>307.39999999999998</v>
      </c>
      <c r="H9" s="5">
        <v>269.12</v>
      </c>
      <c r="I9" s="5">
        <v>266</v>
      </c>
      <c r="J9" s="5">
        <v>281.2</v>
      </c>
      <c r="K9" s="5">
        <v>231.3</v>
      </c>
      <c r="L9" s="5">
        <v>255.4</v>
      </c>
      <c r="M9" s="5">
        <v>226</v>
      </c>
      <c r="N9" s="5">
        <f>SUM(C9:L9)</f>
        <v>2868.82</v>
      </c>
      <c r="O9" s="6">
        <f>SUMIFS($C9:$L9,$C$1:$L$1,"&lt;=5")</f>
        <v>1565.8000000000002</v>
      </c>
      <c r="P9" s="6">
        <f>SUMIFS($C9:$L9,$C$1:$L$1,"&gt;5")</f>
        <v>1303.02</v>
      </c>
      <c r="Q9" s="7">
        <f>O9/N9</f>
        <v>0.54579931818657157</v>
      </c>
      <c r="R9" s="7">
        <f>P9/N9</f>
        <v>0.45420068181342849</v>
      </c>
      <c r="S9" s="7">
        <f>IFERROR(O9/P9-1,0)</f>
        <v>0.20166996669276016</v>
      </c>
    </row>
    <row r="10" spans="1:19" ht="12.75" x14ac:dyDescent="0.2">
      <c r="A10" s="1" t="s">
        <v>19</v>
      </c>
      <c r="B10" s="1" t="s">
        <v>18</v>
      </c>
      <c r="C10" s="1">
        <f>47-0.6</f>
        <v>46.4</v>
      </c>
      <c r="D10" s="5">
        <f>49.6-0.4</f>
        <v>49.2</v>
      </c>
      <c r="E10" s="5">
        <f>49.2-0.9</f>
        <v>48.300000000000004</v>
      </c>
      <c r="F10" s="5">
        <f>60.1-1.3</f>
        <v>58.800000000000004</v>
      </c>
      <c r="G10" s="5">
        <f>63-1.4</f>
        <v>61.6</v>
      </c>
      <c r="H10" s="5">
        <f>57.7-3.8</f>
        <v>53.900000000000006</v>
      </c>
      <c r="I10" s="5">
        <f>55.7-2.8</f>
        <v>52.900000000000006</v>
      </c>
      <c r="J10" s="5">
        <f>60.1-3.7</f>
        <v>56.4</v>
      </c>
      <c r="K10" s="5">
        <f>67.7-11.6</f>
        <v>56.1</v>
      </c>
      <c r="L10" s="5">
        <f>73.5-11.4</f>
        <v>62.1</v>
      </c>
      <c r="M10" s="5">
        <f>46.9-3.1</f>
        <v>43.8</v>
      </c>
      <c r="N10" s="5">
        <f>SUM(C10:L10)</f>
        <v>545.70000000000005</v>
      </c>
      <c r="O10" s="6">
        <f>SUMIFS($C10:$L10,$C$1:$L$1,"&lt;=5")</f>
        <v>264.3</v>
      </c>
      <c r="P10" s="6">
        <f>SUMIFS($C10:$L10,$C$1:$L$1,"&gt;5")</f>
        <v>281.40000000000003</v>
      </c>
      <c r="Q10" s="7">
        <f>O10/N10</f>
        <v>0.48433205057724021</v>
      </c>
      <c r="R10" s="7">
        <f>P10/N10</f>
        <v>0.51566794942275973</v>
      </c>
      <c r="S10" s="7">
        <f>IFERROR(O10/P10-1,0)</f>
        <v>-6.076759061833692E-2</v>
      </c>
    </row>
    <row r="11" spans="1:19" ht="12.75" x14ac:dyDescent="0.2">
      <c r="A11" s="1" t="s">
        <v>20</v>
      </c>
      <c r="B11"/>
      <c r="C11" s="5">
        <f t="shared" ref="C11:P11" si="3">IFERROR(C3/C10,0)</f>
        <v>12.122844827586206</v>
      </c>
      <c r="D11" s="5">
        <f t="shared" si="3"/>
        <v>10.292682926829267</v>
      </c>
      <c r="E11" s="5">
        <f t="shared" si="3"/>
        <v>10.840579710144928</v>
      </c>
      <c r="F11" s="5">
        <f t="shared" si="3"/>
        <v>8.8690476190476186</v>
      </c>
      <c r="G11" s="5">
        <f t="shared" si="3"/>
        <v>8.1185064935064943</v>
      </c>
      <c r="H11" s="5">
        <f t="shared" si="3"/>
        <v>8.8070500927643778</v>
      </c>
      <c r="I11" s="5">
        <f t="shared" si="3"/>
        <v>8.4896030245746683</v>
      </c>
      <c r="J11" s="5">
        <f t="shared" si="3"/>
        <v>7.8812056737588652</v>
      </c>
      <c r="K11" s="5">
        <f t="shared" si="3"/>
        <v>7.7005347593582885</v>
      </c>
      <c r="L11" s="5">
        <f t="shared" si="3"/>
        <v>6.7842190016103059</v>
      </c>
      <c r="M11" s="5">
        <f t="shared" si="3"/>
        <v>8.7054794520547958</v>
      </c>
      <c r="N11" s="5">
        <f t="shared" si="3"/>
        <v>8.8614623419461225</v>
      </c>
      <c r="O11" s="5">
        <f t="shared" si="3"/>
        <v>9.8906545592130151</v>
      </c>
      <c r="P11" s="5">
        <f t="shared" si="3"/>
        <v>7.8948116560056842</v>
      </c>
      <c r="Q11" s="7"/>
      <c r="R11" s="7"/>
      <c r="S11"/>
    </row>
    <row r="12" spans="1:19" ht="12.75" x14ac:dyDescent="0.2">
      <c r="A12"/>
      <c r="B12"/>
      <c r="C1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  <c r="P12" s="6"/>
      <c r="Q12" s="7"/>
      <c r="R12" s="7"/>
      <c r="S12"/>
    </row>
    <row r="13" spans="1:19" ht="12.75" x14ac:dyDescent="0.2">
      <c r="A13" s="1" t="s">
        <v>21</v>
      </c>
      <c r="B13" s="1" t="s">
        <v>18</v>
      </c>
      <c r="C13" s="1">
        <v>183.3</v>
      </c>
      <c r="D13" s="5">
        <v>119.1</v>
      </c>
      <c r="E13" s="5">
        <v>142.6</v>
      </c>
      <c r="F13" s="5">
        <v>146.5</v>
      </c>
      <c r="G13" s="5">
        <v>111.9</v>
      </c>
      <c r="H13" s="5">
        <v>138.69999999999999</v>
      </c>
      <c r="I13" s="5">
        <v>118.1</v>
      </c>
      <c r="J13" s="5">
        <v>147.30000000000001</v>
      </c>
      <c r="K13" s="5">
        <v>156.9</v>
      </c>
      <c r="L13" s="5">
        <v>163.69999999999999</v>
      </c>
      <c r="M13" s="5">
        <v>194.5</v>
      </c>
      <c r="N13" s="5">
        <f>SUM(C13:L13)</f>
        <v>1428.1000000000001</v>
      </c>
      <c r="O13" s="6">
        <f>SUMIFS($C13:$L13,$C$1:$L$1,"&lt;=5")</f>
        <v>703.4</v>
      </c>
      <c r="P13" s="6">
        <f>SUMIFS($C13:$L13,$C$1:$L$1,"&gt;5")</f>
        <v>724.7</v>
      </c>
      <c r="Q13" s="7"/>
      <c r="R13" s="7"/>
      <c r="S13"/>
    </row>
    <row r="14" spans="1:19" ht="12.75" x14ac:dyDescent="0.2">
      <c r="A14" s="1" t="s">
        <v>22</v>
      </c>
      <c r="B14" s="1" t="s">
        <v>18</v>
      </c>
      <c r="C14" s="5">
        <v>-2.4</v>
      </c>
      <c r="D14" s="5">
        <v>-1.7</v>
      </c>
      <c r="E14" s="5">
        <v>-1.4</v>
      </c>
      <c r="F14" s="5">
        <v>-1.9</v>
      </c>
      <c r="G14" s="5">
        <v>-1.6</v>
      </c>
      <c r="H14" s="5">
        <v>-1.3</v>
      </c>
      <c r="I14" s="5">
        <v>-1.8</v>
      </c>
      <c r="J14" s="5">
        <v>-1.3</v>
      </c>
      <c r="K14" s="5">
        <v>-2.2000000000000002</v>
      </c>
      <c r="L14" s="5">
        <v>-0.2</v>
      </c>
      <c r="M14" s="5">
        <v>-3.1</v>
      </c>
      <c r="N14" s="5">
        <f>SUM(C14:L14)</f>
        <v>-15.8</v>
      </c>
      <c r="O14" s="6">
        <f>SUMIFS($C14:$L14,$C$1:$L$1,"&lt;=5")</f>
        <v>-9</v>
      </c>
      <c r="P14" s="6">
        <f>SUMIFS($C14:$L14,$C$1:$L$1,"&gt;5")</f>
        <v>-6.8000000000000007</v>
      </c>
      <c r="Q14" s="7"/>
      <c r="R14" s="7"/>
      <c r="S14"/>
    </row>
    <row r="15" spans="1:19" ht="12.75" x14ac:dyDescent="0.2">
      <c r="A15" s="4" t="s">
        <v>23</v>
      </c>
      <c r="B15" s="4"/>
      <c r="C15" s="10">
        <f t="shared" ref="C15:M15" si="4">SUM(C13:C14)</f>
        <v>180.9</v>
      </c>
      <c r="D15" s="10">
        <f t="shared" si="4"/>
        <v>117.39999999999999</v>
      </c>
      <c r="E15" s="10">
        <f t="shared" si="4"/>
        <v>141.19999999999999</v>
      </c>
      <c r="F15" s="10">
        <f t="shared" si="4"/>
        <v>144.6</v>
      </c>
      <c r="G15" s="10">
        <f t="shared" si="4"/>
        <v>110.30000000000001</v>
      </c>
      <c r="H15" s="10">
        <f t="shared" si="4"/>
        <v>137.39999999999998</v>
      </c>
      <c r="I15" s="10">
        <f t="shared" si="4"/>
        <v>116.3</v>
      </c>
      <c r="J15" s="10">
        <f t="shared" si="4"/>
        <v>146</v>
      </c>
      <c r="K15" s="10">
        <f t="shared" si="4"/>
        <v>154.70000000000002</v>
      </c>
      <c r="L15" s="10">
        <f t="shared" si="4"/>
        <v>163.5</v>
      </c>
      <c r="M15" s="10">
        <f t="shared" si="4"/>
        <v>191.4</v>
      </c>
      <c r="N15" s="10">
        <f>SUM(C15:L15)</f>
        <v>1412.3</v>
      </c>
      <c r="O15" s="11">
        <f>SUMIFS($C15:$L15,$C$1:$L$1,"&lt;=5")</f>
        <v>694.40000000000009</v>
      </c>
      <c r="P15" s="11">
        <f>SUMIFS($C15:$L15,$C$1:$L$1,"&gt;5")</f>
        <v>717.9</v>
      </c>
      <c r="Q15" s="7">
        <f>O15/N15</f>
        <v>0.49168023790979259</v>
      </c>
      <c r="R15" s="7">
        <f>P15/N15</f>
        <v>0.50831976209020746</v>
      </c>
      <c r="S15" s="7">
        <f>IFERROR(O15/P15-1,0)</f>
        <v>-3.2734364117564918E-2</v>
      </c>
    </row>
    <row r="16" spans="1:19" ht="12.75" x14ac:dyDescent="0.2">
      <c r="A16"/>
      <c r="B16"/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  <c r="P16" s="6"/>
      <c r="Q16" s="7"/>
      <c r="R16" s="7"/>
      <c r="S16"/>
    </row>
    <row r="17" spans="1:19" ht="12.75" x14ac:dyDescent="0.2">
      <c r="A17" s="1" t="s">
        <v>24</v>
      </c>
      <c r="B17" s="1" t="s">
        <v>18</v>
      </c>
      <c r="C17" s="1">
        <v>31.6</v>
      </c>
      <c r="D17" s="5">
        <v>32.4</v>
      </c>
      <c r="E17" s="5">
        <v>36.4</v>
      </c>
      <c r="F17" s="5">
        <v>44.1</v>
      </c>
      <c r="G17" s="5">
        <v>34</v>
      </c>
      <c r="H17" s="5">
        <v>28.5</v>
      </c>
      <c r="I17" s="5">
        <v>30.6</v>
      </c>
      <c r="J17" s="5">
        <v>1.3</v>
      </c>
      <c r="K17" s="5">
        <v>21.8</v>
      </c>
      <c r="L17" s="5">
        <v>7.2</v>
      </c>
      <c r="M17" s="5">
        <v>2.1</v>
      </c>
      <c r="N17" s="5">
        <f>SUM(C17:L17)</f>
        <v>267.89999999999998</v>
      </c>
      <c r="O17" s="6">
        <f>SUMIFS($C17:$L17,$C$1:$L$1,"&lt;=5")</f>
        <v>178.5</v>
      </c>
      <c r="P17" s="6">
        <f>SUMIFS($C17:$L17,$C$1:$L$1,"&gt;5")</f>
        <v>89.4</v>
      </c>
      <c r="Q17" s="7">
        <f>O17/N17</f>
        <v>0.66629339305711088</v>
      </c>
      <c r="R17" s="7">
        <f>P17/N17</f>
        <v>0.33370660694288917</v>
      </c>
      <c r="S17" s="7">
        <f>IFERROR(O17/P17-1,0)</f>
        <v>0.99664429530201337</v>
      </c>
    </row>
    <row r="18" spans="1:19" ht="12.75" x14ac:dyDescent="0.2">
      <c r="A18" s="4" t="s">
        <v>25</v>
      </c>
      <c r="B18" s="4"/>
      <c r="C18" s="8">
        <f t="shared" ref="C18:P18" si="5">IFERROR(C17/C3,0)</f>
        <v>5.6177777777777778E-2</v>
      </c>
      <c r="D18" s="8">
        <f t="shared" si="5"/>
        <v>6.398104265402843E-2</v>
      </c>
      <c r="E18" s="8">
        <f t="shared" si="5"/>
        <v>6.9518716577540107E-2</v>
      </c>
      <c r="F18" s="8">
        <f t="shared" si="5"/>
        <v>8.4563758389261751E-2</v>
      </c>
      <c r="G18" s="8">
        <f t="shared" si="5"/>
        <v>6.7986402719456107E-2</v>
      </c>
      <c r="H18" s="8">
        <f t="shared" si="5"/>
        <v>6.0037918685485574E-2</v>
      </c>
      <c r="I18" s="8">
        <f t="shared" si="5"/>
        <v>6.8136272545090179E-2</v>
      </c>
      <c r="J18" s="8">
        <f t="shared" si="5"/>
        <v>2.9246344206974128E-3</v>
      </c>
      <c r="K18" s="8">
        <f t="shared" si="5"/>
        <v>5.0462962962962966E-2</v>
      </c>
      <c r="L18" s="8">
        <f t="shared" si="5"/>
        <v>1.7089959648706386E-2</v>
      </c>
      <c r="M18" s="8">
        <f t="shared" si="5"/>
        <v>5.5074744295830055E-3</v>
      </c>
      <c r="N18" s="8">
        <f t="shared" si="5"/>
        <v>5.5400459085551211E-2</v>
      </c>
      <c r="O18" s="8">
        <f t="shared" si="5"/>
        <v>6.8283539267816842E-2</v>
      </c>
      <c r="P18" s="8">
        <f t="shared" si="5"/>
        <v>4.0241267554915382E-2</v>
      </c>
      <c r="Q18" s="7"/>
      <c r="R18" s="7"/>
      <c r="S18"/>
    </row>
    <row r="19" spans="1:19" ht="12.75" x14ac:dyDescent="0.2">
      <c r="A19"/>
      <c r="B19"/>
      <c r="C19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/>
      <c r="P19"/>
      <c r="Q19" s="7"/>
      <c r="R19" s="7"/>
      <c r="S19"/>
    </row>
    <row r="20" spans="1:19" ht="12.75" x14ac:dyDescent="0.2">
      <c r="A20" s="1" t="s">
        <v>26</v>
      </c>
      <c r="B20" s="1" t="s">
        <v>27</v>
      </c>
      <c r="C20" s="1">
        <v>213.1</v>
      </c>
      <c r="D20" s="5">
        <v>74.900000000000006</v>
      </c>
      <c r="E20" s="5">
        <v>255.8</v>
      </c>
      <c r="F20" s="5">
        <v>112</v>
      </c>
      <c r="G20" s="5">
        <v>133</v>
      </c>
      <c r="H20" s="5">
        <v>77.900000000000006</v>
      </c>
      <c r="I20" s="5">
        <v>58.4</v>
      </c>
      <c r="J20" s="5">
        <v>54.4</v>
      </c>
      <c r="K20" s="5">
        <v>103.8</v>
      </c>
      <c r="L20" s="5">
        <v>68.7</v>
      </c>
      <c r="M20" s="5">
        <v>75</v>
      </c>
      <c r="N20" s="5">
        <f>SUM(C20:L20)</f>
        <v>1152</v>
      </c>
      <c r="O20" s="6">
        <f>SUMIFS($C20:$L20,$C$1:$L$1,"&lt;=5")</f>
        <v>788.8</v>
      </c>
      <c r="P20" s="6">
        <f>SUMIFS($C20:$L20,$C$1:$L$1,"&gt;5")</f>
        <v>363.2</v>
      </c>
      <c r="Q20" s="7"/>
      <c r="R20" s="7"/>
      <c r="S20"/>
    </row>
    <row r="21" spans="1:19" ht="12.75" x14ac:dyDescent="0.2">
      <c r="A21" s="1" t="s">
        <v>28</v>
      </c>
      <c r="B21" s="1" t="s">
        <v>29</v>
      </c>
      <c r="C21"/>
      <c r="D21" s="5">
        <v>-0.5</v>
      </c>
      <c r="E21" s="5">
        <v>-1.4</v>
      </c>
      <c r="F21" s="5">
        <v>-1.5</v>
      </c>
      <c r="G21" s="5">
        <v>-1.3</v>
      </c>
      <c r="H21" s="5">
        <v>-1.1000000000000001</v>
      </c>
      <c r="I21" s="5">
        <v>-1.5</v>
      </c>
      <c r="J21" s="5">
        <v>-0.7</v>
      </c>
      <c r="K21" s="5">
        <v>-0.4</v>
      </c>
      <c r="L21" s="5">
        <v>0</v>
      </c>
      <c r="M21" s="5">
        <v>0</v>
      </c>
      <c r="N21" s="5">
        <f>SUM(C21:L21)</f>
        <v>-8.4</v>
      </c>
      <c r="O21" s="6">
        <f>SUMIFS($C21:$L21,$C$1:$L$1,"&lt;=5")</f>
        <v>-4.7</v>
      </c>
      <c r="P21" s="6">
        <f>SUMIFS($C21:$L21,$C$1:$L$1,"&gt;5")</f>
        <v>-3.6999999999999997</v>
      </c>
      <c r="Q21" s="7"/>
      <c r="R21" s="7"/>
      <c r="S21"/>
    </row>
    <row r="22" spans="1:19" ht="12.75" x14ac:dyDescent="0.2">
      <c r="A22" s="4" t="s">
        <v>26</v>
      </c>
      <c r="B22" s="4"/>
      <c r="C22" s="4">
        <f t="shared" ref="C22:M22" si="6">C20</f>
        <v>213.1</v>
      </c>
      <c r="D22" s="11">
        <f t="shared" si="6"/>
        <v>74.900000000000006</v>
      </c>
      <c r="E22" s="11">
        <f t="shared" si="6"/>
        <v>255.8</v>
      </c>
      <c r="F22" s="11">
        <f t="shared" si="6"/>
        <v>112</v>
      </c>
      <c r="G22" s="11">
        <f t="shared" si="6"/>
        <v>133</v>
      </c>
      <c r="H22" s="11">
        <f t="shared" si="6"/>
        <v>77.900000000000006</v>
      </c>
      <c r="I22" s="11">
        <f t="shared" si="6"/>
        <v>58.4</v>
      </c>
      <c r="J22" s="11">
        <f t="shared" si="6"/>
        <v>54.4</v>
      </c>
      <c r="K22" s="11">
        <f t="shared" si="6"/>
        <v>103.8</v>
      </c>
      <c r="L22" s="11">
        <f t="shared" si="6"/>
        <v>68.7</v>
      </c>
      <c r="M22" s="11">
        <f t="shared" si="6"/>
        <v>75</v>
      </c>
      <c r="N22" s="10">
        <f>SUM(C22:L22)</f>
        <v>1152</v>
      </c>
      <c r="O22" s="11">
        <f>SUMIFS($C22:$L22,$C$1:$L$1,"&lt;=5")</f>
        <v>788.8</v>
      </c>
      <c r="P22" s="11">
        <f>SUMIFS($C22:$L22,$C$1:$L$1,"&gt;5")</f>
        <v>363.2</v>
      </c>
      <c r="Q22" s="7">
        <f>O22/N22</f>
        <v>0.68472222222222223</v>
      </c>
      <c r="R22" s="7">
        <f>P22/N22</f>
        <v>0.31527777777777777</v>
      </c>
      <c r="S22" s="7">
        <f>IFERROR(O22/P22-1,0)</f>
        <v>1.1718061674008808</v>
      </c>
    </row>
    <row r="23" spans="1:19" ht="12.75" x14ac:dyDescent="0.2">
      <c r="A23"/>
      <c r="B23"/>
      <c r="C23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6"/>
      <c r="Q23" s="7"/>
      <c r="R23" s="7"/>
      <c r="S23"/>
    </row>
    <row r="24" spans="1:19" ht="12.75" x14ac:dyDescent="0.2">
      <c r="A24" s="1" t="s">
        <v>30</v>
      </c>
      <c r="B24"/>
      <c r="C24" s="5">
        <f t="shared" ref="C24:M24" si="7">C10+C20-C15</f>
        <v>78.599999999999994</v>
      </c>
      <c r="D24" s="5">
        <f t="shared" si="7"/>
        <v>6.7000000000000171</v>
      </c>
      <c r="E24" s="5">
        <f t="shared" si="7"/>
        <v>162.90000000000003</v>
      </c>
      <c r="F24" s="5">
        <f t="shared" si="7"/>
        <v>26.200000000000017</v>
      </c>
      <c r="G24" s="5">
        <f t="shared" si="7"/>
        <v>84.299999999999983</v>
      </c>
      <c r="H24" s="5">
        <f t="shared" si="7"/>
        <v>-5.5999999999999659</v>
      </c>
      <c r="I24" s="5">
        <f t="shared" si="7"/>
        <v>-4.9999999999999858</v>
      </c>
      <c r="J24" s="5">
        <f t="shared" si="7"/>
        <v>-35.200000000000003</v>
      </c>
      <c r="K24" s="5">
        <f t="shared" si="7"/>
        <v>5.1999999999999886</v>
      </c>
      <c r="L24" s="5">
        <f t="shared" si="7"/>
        <v>-32.699999999999989</v>
      </c>
      <c r="M24" s="5">
        <f t="shared" si="7"/>
        <v>-72.600000000000009</v>
      </c>
      <c r="N24" s="5">
        <f>SUM(C24:L24)</f>
        <v>285.40000000000009</v>
      </c>
      <c r="O24" s="6">
        <f>SUMIFS($C24:$L24,$C$1:$L$1,"&lt;=5")</f>
        <v>358.70000000000005</v>
      </c>
      <c r="P24" s="6">
        <f>SUMIFS($C24:$L24,$C$1:$L$1,"&gt;5")</f>
        <v>-73.299999999999955</v>
      </c>
      <c r="Q24" s="7">
        <f>O24/N24</f>
        <v>1.2568325157673439</v>
      </c>
      <c r="R24" s="7">
        <f>P24/N24</f>
        <v>-0.25683251576734384</v>
      </c>
      <c r="S24" s="7">
        <f>IFERROR(O24/P24-1,0)</f>
        <v>-5.8935879945429779</v>
      </c>
    </row>
    <row r="25" spans="1:19" ht="12.75" x14ac:dyDescent="0.2">
      <c r="A25" s="1" t="s">
        <v>31</v>
      </c>
      <c r="B25"/>
      <c r="C25" s="5">
        <f t="shared" ref="C25:M25" si="8">C22+C10-C31</f>
        <v>230.5</v>
      </c>
      <c r="D25" s="5">
        <f t="shared" si="8"/>
        <v>65.300000000000011</v>
      </c>
      <c r="E25" s="5">
        <f t="shared" si="8"/>
        <v>275.10000000000002</v>
      </c>
      <c r="F25" s="5">
        <f t="shared" si="8"/>
        <v>135.9</v>
      </c>
      <c r="G25" s="5">
        <f t="shared" si="8"/>
        <v>166.2</v>
      </c>
      <c r="H25" s="5">
        <f t="shared" si="8"/>
        <v>102.9</v>
      </c>
      <c r="I25" s="5">
        <f t="shared" si="8"/>
        <v>71.800000000000011</v>
      </c>
      <c r="J25" s="5">
        <f t="shared" si="8"/>
        <v>36.5</v>
      </c>
      <c r="K25" s="5">
        <f t="shared" si="8"/>
        <v>72.2</v>
      </c>
      <c r="L25" s="5">
        <f t="shared" si="8"/>
        <v>63.500000000000014</v>
      </c>
      <c r="M25" s="5">
        <f t="shared" si="8"/>
        <v>25.700000000000003</v>
      </c>
      <c r="N25" s="5">
        <f>SUM(C25:L25)</f>
        <v>1219.9000000000001</v>
      </c>
      <c r="O25" s="6">
        <f>SUMIFS($C25:$L25,$C$1:$L$1,"&lt;=5")</f>
        <v>873</v>
      </c>
      <c r="P25" s="6">
        <f>SUMIFS($C25:$L25,$C$1:$L$1,"&gt;5")</f>
        <v>346.90000000000003</v>
      </c>
      <c r="Q25" s="7">
        <f>O25/N25</f>
        <v>0.71563242888761369</v>
      </c>
      <c r="R25" s="7">
        <f>P25/N25</f>
        <v>0.28436757111238625</v>
      </c>
      <c r="S25" s="7">
        <f>IFERROR(O25/P25-1,0)</f>
        <v>1.5165753819544534</v>
      </c>
    </row>
    <row r="26" spans="1:19" ht="12.75" x14ac:dyDescent="0.2">
      <c r="A26"/>
      <c r="B26"/>
      <c r="C26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  <c r="P26" s="6"/>
      <c r="Q26" s="7"/>
      <c r="R26" s="7"/>
      <c r="S26"/>
    </row>
    <row r="27" spans="1:19" ht="12.75" x14ac:dyDescent="0.2">
      <c r="A27" s="1" t="s">
        <v>32</v>
      </c>
      <c r="B27" s="1" t="s">
        <v>33</v>
      </c>
      <c r="C27" s="1">
        <v>60.7</v>
      </c>
      <c r="D27" s="5">
        <v>54</v>
      </c>
      <c r="E27" s="5">
        <v>55.4</v>
      </c>
      <c r="F27" s="5">
        <v>61.1</v>
      </c>
      <c r="G27" s="5">
        <v>65.099999999999994</v>
      </c>
      <c r="H27" s="5">
        <f>66.6-1.7</f>
        <v>64.899999999999991</v>
      </c>
      <c r="I27" s="5">
        <f>60.9-19.1</f>
        <v>41.8</v>
      </c>
      <c r="J27" s="5">
        <f>64.1-17.5</f>
        <v>46.599999999999994</v>
      </c>
      <c r="K27" s="5">
        <f>69.9-18.8</f>
        <v>51.100000000000009</v>
      </c>
      <c r="L27" s="5">
        <f>64.9-15.3</f>
        <v>49.600000000000009</v>
      </c>
      <c r="M27" s="5">
        <f>58.2-15.1</f>
        <v>43.1</v>
      </c>
      <c r="N27" s="5">
        <f t="shared" ref="N27:N32" si="9">SUM(C27:L27)</f>
        <v>550.29999999999995</v>
      </c>
      <c r="O27" s="6">
        <f t="shared" ref="O27:O32" si="10">SUMIFS($C27:$L27,$C$1:$L$1,"&lt;=5")</f>
        <v>296.29999999999995</v>
      </c>
      <c r="P27" s="6">
        <f t="shared" ref="P27:P32" si="11">SUMIFS($C27:$L27,$C$1:$L$1,"&gt;5")</f>
        <v>254</v>
      </c>
      <c r="Q27" s="7">
        <f>O27/N27</f>
        <v>0.53843358168271849</v>
      </c>
      <c r="R27" s="7">
        <f>P27/N27</f>
        <v>0.46156641831728151</v>
      </c>
      <c r="S27" s="7">
        <f>IFERROR(O27/P27-1,0)</f>
        <v>0.16653543307086593</v>
      </c>
    </row>
    <row r="28" spans="1:19" ht="12.75" x14ac:dyDescent="0.2">
      <c r="A28" s="1" t="s">
        <v>34</v>
      </c>
      <c r="B28" s="1" t="s">
        <v>35</v>
      </c>
      <c r="C28" s="1">
        <v>190.9</v>
      </c>
      <c r="D28" s="5">
        <v>126.3</v>
      </c>
      <c r="E28" s="5">
        <v>145.1</v>
      </c>
      <c r="F28" s="5">
        <v>141.6</v>
      </c>
      <c r="G28" s="5">
        <v>116.5</v>
      </c>
      <c r="H28" s="5">
        <v>130.80000000000001</v>
      </c>
      <c r="I28" s="5">
        <v>125.1</v>
      </c>
      <c r="J28" s="5">
        <v>143.30000000000001</v>
      </c>
      <c r="K28" s="5">
        <v>147.80000000000001</v>
      </c>
      <c r="L28" s="5">
        <v>169.6</v>
      </c>
      <c r="M28" s="5">
        <v>183.9</v>
      </c>
      <c r="N28" s="5">
        <f t="shared" si="9"/>
        <v>1437</v>
      </c>
      <c r="O28" s="6">
        <f t="shared" si="10"/>
        <v>720.4</v>
      </c>
      <c r="P28" s="6">
        <f t="shared" si="11"/>
        <v>716.6</v>
      </c>
      <c r="Q28" s="7">
        <f>O28/N28</f>
        <v>0.50132219902574804</v>
      </c>
      <c r="R28" s="7">
        <f>P28/N28</f>
        <v>0.49867780097425191</v>
      </c>
      <c r="S28" s="7">
        <f>IFERROR(O28/P28-1,0)</f>
        <v>5.3028188668713394E-3</v>
      </c>
    </row>
    <row r="29" spans="1:19" ht="12.75" x14ac:dyDescent="0.2">
      <c r="A29" s="1" t="s">
        <v>36</v>
      </c>
      <c r="B29" s="1" t="s">
        <v>35</v>
      </c>
      <c r="C29" s="1">
        <f>130-62.2</f>
        <v>67.8</v>
      </c>
      <c r="D29" s="5">
        <f>76.7-138.2</f>
        <v>-61.499999999999986</v>
      </c>
      <c r="E29" s="5">
        <f>95-65.2</f>
        <v>29.799999999999997</v>
      </c>
      <c r="F29" s="5">
        <f>95.9-83.5</f>
        <v>12.400000000000006</v>
      </c>
      <c r="G29" s="5">
        <f>78.4-74.9</f>
        <v>3.5</v>
      </c>
      <c r="H29" s="5">
        <f>95-81.6</f>
        <v>13.400000000000006</v>
      </c>
      <c r="I29" s="5">
        <f>78-64</f>
        <v>14</v>
      </c>
      <c r="J29" s="5">
        <f>72.8-80.8</f>
        <v>-8</v>
      </c>
      <c r="K29" s="5">
        <f>62.9-80.6</f>
        <v>-17.699999999999996</v>
      </c>
      <c r="L29" s="5">
        <f>81.5-66.3</f>
        <v>15.200000000000003</v>
      </c>
      <c r="M29" s="5">
        <f>77.6-85.1</f>
        <v>-7.5</v>
      </c>
      <c r="N29" s="5">
        <f t="shared" si="9"/>
        <v>68.900000000000034</v>
      </c>
      <c r="O29" s="6">
        <f t="shared" si="10"/>
        <v>52.000000000000014</v>
      </c>
      <c r="P29" s="6">
        <f t="shared" si="11"/>
        <v>16.900000000000013</v>
      </c>
      <c r="Q29" s="7"/>
      <c r="R29" s="7"/>
      <c r="S29"/>
    </row>
    <row r="30" spans="1:19" ht="12.75" x14ac:dyDescent="0.2">
      <c r="A30" s="1" t="s">
        <v>37</v>
      </c>
      <c r="B30" s="1" t="s">
        <v>35</v>
      </c>
      <c r="C30" s="1">
        <f>37.3+39.6</f>
        <v>76.900000000000006</v>
      </c>
      <c r="D30" s="5">
        <f>32.7+73.6</f>
        <v>106.3</v>
      </c>
      <c r="E30" s="5">
        <f>34.7+40.3</f>
        <v>75</v>
      </c>
      <c r="F30" s="5">
        <f>30.7+53.9</f>
        <v>84.6</v>
      </c>
      <c r="G30" s="5">
        <f>25+46.4</f>
        <v>71.400000000000006</v>
      </c>
      <c r="H30" s="5">
        <f>19+61.6</f>
        <v>80.599999999999994</v>
      </c>
      <c r="I30" s="5">
        <f>28.9+30.1</f>
        <v>59</v>
      </c>
      <c r="J30" s="5">
        <f>33.1+35.5</f>
        <v>68.599999999999994</v>
      </c>
      <c r="K30" s="5">
        <f>29+35</f>
        <v>64</v>
      </c>
      <c r="L30" s="5">
        <f>35.5+34.9</f>
        <v>70.400000000000006</v>
      </c>
      <c r="M30" s="5">
        <f>42.7+39.8</f>
        <v>82.5</v>
      </c>
      <c r="N30" s="5">
        <f t="shared" si="9"/>
        <v>756.8</v>
      </c>
      <c r="O30" s="6">
        <f t="shared" si="10"/>
        <v>414.19999999999993</v>
      </c>
      <c r="P30" s="6">
        <f t="shared" si="11"/>
        <v>342.6</v>
      </c>
      <c r="Q30" s="7">
        <f>O30/N30</f>
        <v>0.54730443974630016</v>
      </c>
      <c r="R30" s="7">
        <f>P30/N30</f>
        <v>0.45269556025369984</v>
      </c>
      <c r="S30" s="7">
        <f>IFERROR(O30/P30-1,0)</f>
        <v>0.20899007589025076</v>
      </c>
    </row>
    <row r="31" spans="1:19" ht="12.75" x14ac:dyDescent="0.2">
      <c r="A31" s="14" t="s">
        <v>48</v>
      </c>
      <c r="B31" s="4" t="s">
        <v>35</v>
      </c>
      <c r="C31" s="4">
        <f>12.7+16.3</f>
        <v>29</v>
      </c>
      <c r="D31" s="10">
        <f>15.8+43</f>
        <v>58.8</v>
      </c>
      <c r="E31" s="10">
        <f>11.5+17.5</f>
        <v>29</v>
      </c>
      <c r="F31" s="10">
        <f>13.8+21.1</f>
        <v>34.900000000000006</v>
      </c>
      <c r="G31" s="10">
        <f>11.6+16.8</f>
        <v>28.4</v>
      </c>
      <c r="H31" s="10">
        <f>14.9+14</f>
        <v>28.9</v>
      </c>
      <c r="I31" s="10">
        <f>17.8+21.7</f>
        <v>39.5</v>
      </c>
      <c r="J31" s="10">
        <f>38+36.3</f>
        <v>74.3</v>
      </c>
      <c r="K31" s="10">
        <f>53.7+34</f>
        <v>87.7</v>
      </c>
      <c r="L31" s="10">
        <f>50+17.3</f>
        <v>67.3</v>
      </c>
      <c r="M31" s="10">
        <f>60.6+32.5</f>
        <v>93.1</v>
      </c>
      <c r="N31" s="10">
        <f t="shared" si="9"/>
        <v>477.8</v>
      </c>
      <c r="O31" s="11">
        <f t="shared" si="10"/>
        <v>180.1</v>
      </c>
      <c r="P31" s="11">
        <f t="shared" si="11"/>
        <v>297.7</v>
      </c>
      <c r="Q31" s="7">
        <f>O31/N31</f>
        <v>0.37693595646714106</v>
      </c>
      <c r="R31" s="7">
        <f>P31/N31</f>
        <v>0.62306404353285894</v>
      </c>
      <c r="S31" s="7">
        <f>IFERROR(O31/P31-1,0)</f>
        <v>-0.39502855223379241</v>
      </c>
    </row>
    <row r="32" spans="1:19" ht="12.75" x14ac:dyDescent="0.2">
      <c r="A32" s="15" t="s">
        <v>38</v>
      </c>
      <c r="B32" s="1" t="s">
        <v>35</v>
      </c>
      <c r="C32" s="5">
        <f t="shared" ref="C32:M32" si="12">C28-C29-C30-C31</f>
        <v>17.200000000000003</v>
      </c>
      <c r="D32" s="5">
        <f t="shared" si="12"/>
        <v>22.699999999999989</v>
      </c>
      <c r="E32" s="5">
        <f t="shared" si="12"/>
        <v>11.299999999999997</v>
      </c>
      <c r="F32" s="5">
        <f t="shared" si="12"/>
        <v>9.6999999999999886</v>
      </c>
      <c r="G32" s="5">
        <f t="shared" si="12"/>
        <v>13.199999999999996</v>
      </c>
      <c r="H32" s="5">
        <f t="shared" si="12"/>
        <v>7.9000000000000128</v>
      </c>
      <c r="I32" s="5">
        <f t="shared" si="12"/>
        <v>12.599999999999994</v>
      </c>
      <c r="J32" s="5">
        <f t="shared" si="12"/>
        <v>8.4000000000000199</v>
      </c>
      <c r="K32" s="5">
        <f t="shared" si="12"/>
        <v>13.799999999999997</v>
      </c>
      <c r="L32" s="5">
        <f t="shared" si="12"/>
        <v>16.699999999999974</v>
      </c>
      <c r="M32" s="5">
        <f t="shared" si="12"/>
        <v>15.800000000000011</v>
      </c>
      <c r="N32" s="5">
        <f t="shared" si="9"/>
        <v>133.49999999999994</v>
      </c>
      <c r="O32" s="6">
        <f t="shared" si="10"/>
        <v>74.099999999999966</v>
      </c>
      <c r="P32" s="6">
        <f t="shared" si="11"/>
        <v>59.4</v>
      </c>
      <c r="Q32" s="7">
        <f>O32/N32</f>
        <v>0.55505617977528088</v>
      </c>
      <c r="R32" s="7">
        <f>P32/N32</f>
        <v>0.44494382022471929</v>
      </c>
      <c r="S32" s="7">
        <f>IFERROR(O32/P32-1,0)</f>
        <v>0.24747474747474696</v>
      </c>
    </row>
    <row r="33" spans="1:19" ht="12.75" x14ac:dyDescent="0.2">
      <c r="A33" s="4" t="s">
        <v>39</v>
      </c>
      <c r="B33" s="4"/>
      <c r="C33" s="8">
        <f t="shared" ref="C33:P33" si="13">IFERROR(C31/C28,0)</f>
        <v>0.15191199580932424</v>
      </c>
      <c r="D33" s="8">
        <f t="shared" si="13"/>
        <v>0.46555819477434679</v>
      </c>
      <c r="E33" s="8">
        <f t="shared" si="13"/>
        <v>0.1998621640248105</v>
      </c>
      <c r="F33" s="8">
        <f t="shared" si="13"/>
        <v>0.24646892655367236</v>
      </c>
      <c r="G33" s="8">
        <f t="shared" si="13"/>
        <v>0.24377682403433476</v>
      </c>
      <c r="H33" s="8">
        <f t="shared" si="13"/>
        <v>0.22094801223241586</v>
      </c>
      <c r="I33" s="8">
        <f t="shared" si="13"/>
        <v>0.31574740207833735</v>
      </c>
      <c r="J33" s="8">
        <f t="shared" si="13"/>
        <v>0.51849267271458477</v>
      </c>
      <c r="K33" s="8">
        <f t="shared" si="13"/>
        <v>0.59336941813261157</v>
      </c>
      <c r="L33" s="8">
        <f t="shared" si="13"/>
        <v>0.39681603773584906</v>
      </c>
      <c r="M33" s="8">
        <f t="shared" si="13"/>
        <v>0.50625339858618812</v>
      </c>
      <c r="N33" s="8">
        <f t="shared" si="13"/>
        <v>0.33249826026443979</v>
      </c>
      <c r="O33" s="8">
        <f t="shared" si="13"/>
        <v>0.25</v>
      </c>
      <c r="P33" s="8">
        <f t="shared" si="13"/>
        <v>0.41543399385989394</v>
      </c>
      <c r="Q33" s="7"/>
      <c r="R33" s="7"/>
      <c r="S33"/>
    </row>
    <row r="34" spans="1:19" ht="12.75" x14ac:dyDescent="0.2">
      <c r="A34"/>
      <c r="B34"/>
      <c r="C3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6"/>
      <c r="P34" s="6"/>
      <c r="Q34" s="7"/>
      <c r="R34" s="7"/>
      <c r="S34"/>
    </row>
    <row r="35" spans="1:19" ht="12.75" x14ac:dyDescent="0.2">
      <c r="A35" s="1" t="s">
        <v>40</v>
      </c>
      <c r="B35" s="1" t="s">
        <v>41</v>
      </c>
      <c r="C35" s="1">
        <v>2899.8</v>
      </c>
      <c r="D35" s="5">
        <v>2659.9</v>
      </c>
      <c r="E35" s="5">
        <v>2636.9</v>
      </c>
      <c r="F35" s="5">
        <v>2595</v>
      </c>
      <c r="G35" s="5">
        <v>2555.3000000000002</v>
      </c>
      <c r="H35" s="5">
        <v>2541.1</v>
      </c>
      <c r="I35" s="5">
        <v>2467.8000000000002</v>
      </c>
      <c r="J35" s="5">
        <v>2427.6999999999998</v>
      </c>
      <c r="K35" s="5">
        <v>2377.9</v>
      </c>
      <c r="L35" s="5">
        <v>2323.8000000000002</v>
      </c>
      <c r="M35" s="5">
        <v>2243.5</v>
      </c>
      <c r="N35" s="5"/>
      <c r="O35" s="6"/>
      <c r="P35" s="6"/>
      <c r="Q35" s="7"/>
      <c r="R35" s="7"/>
      <c r="S35"/>
    </row>
    <row r="36" spans="1:19" ht="12.75" x14ac:dyDescent="0.2">
      <c r="A36" s="1" t="s">
        <v>42</v>
      </c>
      <c r="B36" s="1" t="s">
        <v>41</v>
      </c>
      <c r="C36" s="1">
        <f>158.3+2122.9</f>
        <v>2281.2000000000003</v>
      </c>
      <c r="D36" s="5">
        <f>104.6+1939.9</f>
        <v>2044.5</v>
      </c>
      <c r="E36" s="5">
        <f>183.8+1880.6</f>
        <v>2064.4</v>
      </c>
      <c r="F36" s="5">
        <f>142.5+1819</f>
        <v>1961.5</v>
      </c>
      <c r="G36" s="5">
        <f>53.4+1781.4</f>
        <v>1834.8000000000002</v>
      </c>
      <c r="H36" s="5">
        <f>68.7+1809.8</f>
        <v>1878.5</v>
      </c>
      <c r="I36" s="5">
        <f>60.3+1784.1</f>
        <v>1844.3999999999999</v>
      </c>
      <c r="J36" s="5">
        <f>155.3+1656.8</f>
        <v>1812.1</v>
      </c>
      <c r="K36" s="5">
        <f>55.3+1767.5</f>
        <v>1822.8</v>
      </c>
      <c r="L36" s="5">
        <f>53.4+1660.9</f>
        <v>1714.3000000000002</v>
      </c>
      <c r="M36" s="5">
        <f>74.1+1465.4</f>
        <v>1539.5</v>
      </c>
      <c r="N36" s="5"/>
      <c r="O36" s="6"/>
      <c r="P36" s="6"/>
      <c r="Q36" s="7"/>
      <c r="R36" s="7"/>
      <c r="S36"/>
    </row>
    <row r="37" spans="1:19" ht="12.75" x14ac:dyDescent="0.2">
      <c r="A37" s="1" t="s">
        <v>43</v>
      </c>
      <c r="B37" s="1" t="s">
        <v>41</v>
      </c>
      <c r="C37" s="1">
        <v>247.4</v>
      </c>
      <c r="D37" s="5">
        <v>251.2</v>
      </c>
      <c r="E37" s="5">
        <v>246.9</v>
      </c>
      <c r="F37" s="5">
        <v>315.8</v>
      </c>
      <c r="G37" s="5">
        <v>234.4</v>
      </c>
      <c r="H37" s="5">
        <v>293.60000000000002</v>
      </c>
      <c r="I37" s="5">
        <v>301.60000000000002</v>
      </c>
      <c r="J37" s="5">
        <v>264.89999999999998</v>
      </c>
      <c r="K37" s="5">
        <v>251.7</v>
      </c>
      <c r="L37" s="5">
        <v>242.3</v>
      </c>
      <c r="M37" s="5">
        <v>118.8</v>
      </c>
      <c r="N37" s="5"/>
      <c r="O37" s="6"/>
      <c r="P37" s="6"/>
      <c r="Q37" s="7"/>
      <c r="R37" s="7"/>
      <c r="S37"/>
    </row>
    <row r="38" spans="1:19" ht="12.75" x14ac:dyDescent="0.2">
      <c r="A38" s="1" t="s">
        <v>44</v>
      </c>
      <c r="B38"/>
      <c r="C38" s="13">
        <f t="shared" ref="C38:L38" si="14">C35-D35</f>
        <v>239.90000000000009</v>
      </c>
      <c r="D38" s="13">
        <f t="shared" si="14"/>
        <v>23</v>
      </c>
      <c r="E38" s="13">
        <f t="shared" si="14"/>
        <v>41.900000000000091</v>
      </c>
      <c r="F38" s="13">
        <f t="shared" si="14"/>
        <v>39.699999999999818</v>
      </c>
      <c r="G38" s="13">
        <f t="shared" si="14"/>
        <v>14.200000000000273</v>
      </c>
      <c r="H38" s="13">
        <f t="shared" si="14"/>
        <v>73.299999999999727</v>
      </c>
      <c r="I38" s="13">
        <f t="shared" si="14"/>
        <v>40.100000000000364</v>
      </c>
      <c r="J38" s="13">
        <f t="shared" si="14"/>
        <v>49.799999999999727</v>
      </c>
      <c r="K38" s="13">
        <f t="shared" si="14"/>
        <v>54.099999999999909</v>
      </c>
      <c r="L38" s="13">
        <f t="shared" si="14"/>
        <v>80.300000000000182</v>
      </c>
      <c r="M38" s="13"/>
      <c r="N38" s="10">
        <f>SUM(C38:L38)</f>
        <v>656.30000000000018</v>
      </c>
      <c r="O38" s="11">
        <f>SUMIFS($C38:$L38,$C$1:$L$1,"&lt;=5")</f>
        <v>358.70000000000027</v>
      </c>
      <c r="P38" s="11">
        <f>SUMIFS($C38:$L38,$C$1:$L$1,"&gt;5")</f>
        <v>297.59999999999991</v>
      </c>
      <c r="Q38" s="7">
        <f>O38/N38</f>
        <v>0.54654883437452406</v>
      </c>
      <c r="R38" s="7">
        <f>P38/N38</f>
        <v>0.45345116562547588</v>
      </c>
      <c r="S38" s="7"/>
    </row>
    <row r="39" spans="1:19" ht="12.75" x14ac:dyDescent="0.2">
      <c r="A39" s="1" t="s">
        <v>45</v>
      </c>
      <c r="B39"/>
      <c r="C39" s="13">
        <f t="shared" ref="C39:L39" si="15">C36-D36</f>
        <v>236.70000000000027</v>
      </c>
      <c r="D39" s="13">
        <f t="shared" si="15"/>
        <v>-19.900000000000091</v>
      </c>
      <c r="E39" s="13">
        <f t="shared" si="15"/>
        <v>102.90000000000009</v>
      </c>
      <c r="F39" s="13">
        <f t="shared" si="15"/>
        <v>126.69999999999982</v>
      </c>
      <c r="G39" s="13">
        <f t="shared" si="15"/>
        <v>-43.699999999999818</v>
      </c>
      <c r="H39" s="13">
        <f t="shared" si="15"/>
        <v>34.100000000000136</v>
      </c>
      <c r="I39" s="13">
        <f t="shared" si="15"/>
        <v>32.299999999999955</v>
      </c>
      <c r="J39" s="13">
        <f t="shared" si="15"/>
        <v>-10.700000000000045</v>
      </c>
      <c r="K39" s="13">
        <f t="shared" si="15"/>
        <v>108.49999999999977</v>
      </c>
      <c r="L39" s="13">
        <f t="shared" si="15"/>
        <v>174.80000000000018</v>
      </c>
      <c r="M39" s="13"/>
      <c r="N39" s="10">
        <f>SUM(C39:L39)</f>
        <v>741.70000000000027</v>
      </c>
      <c r="O39" s="11">
        <f>SUMIFS($C39:$L39,$C$1:$L$1,"&lt;=5")</f>
        <v>402.70000000000027</v>
      </c>
      <c r="P39" s="11">
        <f>SUMIFS($C39:$L39,$C$1:$L$1,"&gt;5")</f>
        <v>339</v>
      </c>
      <c r="Q39" s="7">
        <f>O39/N39</f>
        <v>0.54294189025212369</v>
      </c>
      <c r="R39" s="7">
        <f>P39/N39</f>
        <v>0.45705810974787631</v>
      </c>
      <c r="S39" s="7"/>
    </row>
    <row r="40" spans="1:19" ht="12.75" x14ac:dyDescent="0.2">
      <c r="A40" s="1" t="s">
        <v>46</v>
      </c>
      <c r="B40"/>
      <c r="C40" s="13">
        <f t="shared" ref="C40:L40" si="16">C37-D37</f>
        <v>-3.7999999999999829</v>
      </c>
      <c r="D40" s="13">
        <f t="shared" si="16"/>
        <v>4.2999999999999829</v>
      </c>
      <c r="E40" s="13">
        <f t="shared" si="16"/>
        <v>-68.900000000000006</v>
      </c>
      <c r="F40" s="13">
        <f t="shared" si="16"/>
        <v>81.400000000000006</v>
      </c>
      <c r="G40" s="13">
        <f t="shared" si="16"/>
        <v>-59.200000000000017</v>
      </c>
      <c r="H40" s="13">
        <f t="shared" si="16"/>
        <v>-8</v>
      </c>
      <c r="I40" s="13">
        <f t="shared" si="16"/>
        <v>36.700000000000045</v>
      </c>
      <c r="J40" s="13">
        <f t="shared" si="16"/>
        <v>13.199999999999989</v>
      </c>
      <c r="K40" s="13">
        <f t="shared" si="16"/>
        <v>9.3999999999999773</v>
      </c>
      <c r="L40" s="13">
        <f t="shared" si="16"/>
        <v>123.50000000000001</v>
      </c>
      <c r="M40" s="13"/>
      <c r="N40" s="10">
        <f>SUM(C40:L40)</f>
        <v>128.60000000000002</v>
      </c>
      <c r="O40" s="11">
        <f>SUMIFS($C40:$L40,$C$1:$L$1,"&lt;=5")</f>
        <v>-46.200000000000017</v>
      </c>
      <c r="P40" s="11">
        <f>SUMIFS($C40:$L40,$C$1:$L$1,"&gt;5")</f>
        <v>174.8</v>
      </c>
      <c r="Q40" s="7">
        <f>O40/N40</f>
        <v>-0.35925349922239508</v>
      </c>
      <c r="R40" s="7">
        <f>P40/N40</f>
        <v>1.3592534992223948</v>
      </c>
      <c r="S40" s="7"/>
    </row>
    <row r="41" spans="1:19" ht="12.75" x14ac:dyDescent="0.2">
      <c r="A41" s="4" t="s">
        <v>47</v>
      </c>
      <c r="B41" s="4"/>
      <c r="C41" s="8">
        <f t="shared" ref="C41:M41" si="17">IFERROR(C36/C35,0)</f>
        <v>0.78667494309952413</v>
      </c>
      <c r="D41" s="8">
        <f t="shared" si="17"/>
        <v>0.76863791871874876</v>
      </c>
      <c r="E41" s="8">
        <f t="shared" si="17"/>
        <v>0.78288899844514392</v>
      </c>
      <c r="F41" s="8">
        <f t="shared" si="17"/>
        <v>0.75587668593448942</v>
      </c>
      <c r="G41" s="8">
        <f t="shared" si="17"/>
        <v>0.71803702109341372</v>
      </c>
      <c r="H41" s="8">
        <f t="shared" si="17"/>
        <v>0.7392467828892999</v>
      </c>
      <c r="I41" s="8">
        <f t="shared" si="17"/>
        <v>0.74738633600778015</v>
      </c>
      <c r="J41" s="8">
        <f t="shared" si="17"/>
        <v>0.74642665897763316</v>
      </c>
      <c r="K41" s="8">
        <f t="shared" si="17"/>
        <v>0.76655872828966731</v>
      </c>
      <c r="L41" s="8">
        <f t="shared" si="17"/>
        <v>0.73771408899216806</v>
      </c>
      <c r="M41" s="8">
        <f t="shared" si="17"/>
        <v>0.68620459104078446</v>
      </c>
      <c r="N41" s="8"/>
      <c r="O41" s="8"/>
      <c r="P41" s="8"/>
      <c r="Q41" s="7"/>
      <c r="R41" s="7"/>
    </row>
  </sheetData>
  <pageMargins left="0.78749999999999998" right="0.78749999999999998" top="1.0249999999999999" bottom="1.0249999999999999" header="0.78749999999999998" footer="0.78749999999999998"/>
  <pageSetup paperSize="9" orientation="portrait" useFirstPageNumber="1" horizontalDpi="0" verticalDpi="0" r:id="rId1"/>
  <headerFooter>
    <oddHeader>&amp;C&amp;A</oddHead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Sheet1!Print_Area</vt:lpstr>
      <vt:lpstr>Sheet1!Print_Area_0</vt:lpstr>
      <vt:lpstr>Sheet1!Print_Area_0_0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2017-11-14T20:23:19Z</dcterms:created>
  <dcterms:modified xsi:type="dcterms:W3CDTF">2017-11-14T20:24:02Z</dcterms:modified>
</cp:coreProperties>
</file>